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P&amp;L" sheetId="3" state="visible" r:id="rId3"/>
    <sheet xmlns:r="http://schemas.openxmlformats.org/officeDocument/2006/relationships" name="Sensitivit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(#,##0);&quot;-&quot;"/>
    <numFmt numFmtId="165" formatCode="0.0%"/>
    <numFmt numFmtId="166" formatCode="$#,##0;($#,##0);&quot;-&quot;"/>
  </numFmts>
  <fonts count="9">
    <font>
      <name val="Calibri"/>
      <family val="2"/>
      <color theme="1"/>
      <sz val="11"/>
      <scheme val="minor"/>
    </font>
    <font>
      <name val="Arial"/>
      <b val="1"/>
      <color rgb="001A2540"/>
      <sz val="13"/>
    </font>
    <font>
      <name val="Arial"/>
      <i val="1"/>
      <color rgb="00666666"/>
      <sz val="9"/>
    </font>
    <font>
      <name val="Arial"/>
      <b val="1"/>
      <color rgb="008B6F47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color rgb="00008000"/>
      <sz val="10"/>
    </font>
    <font>
      <name val="Arial"/>
      <b val="1"/>
      <color rgb="00FFFFFF"/>
      <sz val="10"/>
    </font>
    <font>
      <name val="Arial"/>
      <b val="1"/>
      <color rgb="00000000"/>
      <sz val="10"/>
    </font>
  </fonts>
  <fills count="5">
    <fill>
      <patternFill/>
    </fill>
    <fill>
      <patternFill patternType="gray125"/>
    </fill>
    <fill>
      <patternFill patternType="solid">
        <fgColor rgb="001A2540"/>
      </patternFill>
    </fill>
    <fill>
      <patternFill patternType="solid">
        <fgColor rgb="00FFF8DC"/>
      </patternFill>
    </fill>
    <fill>
      <patternFill patternType="solid">
        <fgColor rgb="00F5F1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left"/>
    </xf>
    <xf numFmtId="0" fontId="7" fillId="2" borderId="0" applyAlignment="1" pivotButton="0" quotePrefix="0" xfId="0">
      <alignment horizontal="center"/>
    </xf>
    <xf numFmtId="164" fontId="5" fillId="0" borderId="0" applyAlignment="1" pivotButton="0" quotePrefix="0" xfId="0">
      <alignment horizontal="right"/>
    </xf>
    <xf numFmtId="2" fontId="5" fillId="3" borderId="0" applyAlignment="1" pivotButton="0" quotePrefix="0" xfId="0">
      <alignment horizontal="right"/>
    </xf>
    <xf numFmtId="165" fontId="5" fillId="3" borderId="0" applyAlignment="1" pivotButton="0" quotePrefix="0" xfId="0">
      <alignment horizontal="right"/>
    </xf>
    <xf numFmtId="165" fontId="5" fillId="0" borderId="0" applyAlignment="1" pivotButton="0" quotePrefix="0" xfId="0">
      <alignment horizontal="right"/>
    </xf>
    <xf numFmtId="2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166" fontId="5" fillId="3" borderId="0" applyAlignment="1" pivotButton="0" quotePrefix="0" xfId="0">
      <alignment horizontal="right"/>
    </xf>
    <xf numFmtId="166" fontId="5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164" fontId="4" fillId="0" borderId="0" applyAlignment="1" pivotButton="0" quotePrefix="0" xfId="0">
      <alignment horizontal="right"/>
    </xf>
    <xf numFmtId="0" fontId="8" fillId="0" borderId="0" pivotButton="0" quotePrefix="0" xfId="0"/>
    <xf numFmtId="164" fontId="8" fillId="0" borderId="0" applyAlignment="1" pivotButton="0" quotePrefix="0" xfId="0">
      <alignment horizontal="right"/>
    </xf>
    <xf numFmtId="0" fontId="5" fillId="3" borderId="0" applyAlignment="1" pivotButton="0" quotePrefix="0" xfId="0">
      <alignment horizontal="center"/>
    </xf>
    <xf numFmtId="164" fontId="6" fillId="0" borderId="0" applyAlignment="1" pivotButton="0" quotePrefix="0" xfId="0">
      <alignment horizontal="right"/>
    </xf>
    <xf numFmtId="0" fontId="8" fillId="4" borderId="0" pivotButton="0" quotePrefix="0" xfId="0"/>
    <xf numFmtId="164" fontId="8" fillId="4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2" fontId="6" fillId="0" borderId="0" applyAlignment="1" pivotButton="0" quotePrefix="0" xfId="0">
      <alignment horizontal="right"/>
    </xf>
    <xf numFmtId="166" fontId="6" fillId="0" borderId="0" applyAlignment="1" pivotButton="0" quotePrefix="0" xfId="0">
      <alignment horizontal="right"/>
    </xf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Hartwell Stewardship — Financial Model</t>
        </is>
      </c>
    </row>
    <row r="2">
      <c r="A2" s="2" t="inlineStr">
        <is>
          <t>Version 3.0  ·  Three-product, IC-backfill (2026-06-01)  ·  Companion to the rebuilt business plan</t>
        </is>
      </c>
    </row>
    <row r="3">
      <c r="A3" t="inlineStr"/>
    </row>
    <row r="4">
      <c r="A4" s="3" t="inlineStr">
        <is>
          <t>How to use</t>
        </is>
      </c>
    </row>
    <row r="5">
      <c r="A5" s="4" t="inlineStr">
        <is>
          <t>1. Open the Assumptions tab. Blue cells are editable inputs; everything else is a formula.</t>
        </is>
      </c>
    </row>
    <row r="6">
      <c r="A6" s="4" t="inlineStr">
        <is>
          <t>2. The P&amp;L tab shows a 5-year roll-up. Cell B4 is the scenario selector — Conservative / Base / Aggressive.</t>
        </is>
      </c>
    </row>
    <row r="7">
      <c r="A7" s="4" t="inlineStr">
        <is>
          <t>3. The Sensitivity tab shows the one-way Â±25% impact on Y5 EBITDA for each top driver.</t>
        </is>
      </c>
    </row>
    <row r="8">
      <c r="A8" s="4" t="inlineStr">
        <is>
          <t>4. Every output is a formula. The model recalculates when drivers change.</t>
        </is>
      </c>
    </row>
    <row r="9">
      <c r="A9" t="inlineStr"/>
    </row>
    <row r="10">
      <c r="A10" s="3" t="inlineStr">
        <is>
          <t>What changed from v2 (IC-review backfill, 2026-06-01)</t>
        </is>
      </c>
    </row>
    <row r="11">
      <c r="A11" s="4" t="inlineStr">
        <is>
          <t>v3 incorporates the convergent findings of three independent IC reviews:</t>
        </is>
      </c>
    </row>
    <row r="12">
      <c r="A12" s="4" t="inlineStr">
        <is>
          <t xml:space="preserve">   · Three products now: tiered retention concierge + pure-bps placement + post-graduation recurring retainer.</t>
        </is>
      </c>
    </row>
    <row r="13">
      <c r="A13" s="4" t="inlineStr">
        <is>
          <t xml:space="preserve">   · Retention fee is tiered by estate size ($10K under $10M, scaling to $30K+ over $50M) — blended ~$13.5K.</t>
        </is>
      </c>
    </row>
    <row r="14">
      <c r="A14" s="4" t="inlineStr">
        <is>
          <t xml:space="preserve">   · Placement trail is unchanged (pure 25 bps × ~10 yr, no upfront, $50K LTV base).</t>
        </is>
      </c>
    </row>
    <row r="15">
      <c r="A15" s="4" t="inlineStr">
        <is>
          <t xml:space="preserve">   · NEW recurring retainer: $2,500/year/family for tax-date watch + beneficiary review (Y2+; 25% adoption).</t>
        </is>
      </c>
    </row>
    <row r="16">
      <c r="A16" s="4" t="inlineStr">
        <is>
          <t xml:space="preserve">   · Base case mix revised to 65/35 retention/placement (was 60/40).</t>
        </is>
      </c>
    </row>
    <row r="17">
      <c r="A17" s="4" t="inlineStr">
        <is>
          <t xml:space="preserve">   · EBITDA target rebased to ~30% Base (was 48%) — services-grade reality per all three IC reviewers.</t>
        </is>
      </c>
    </row>
    <row r="18">
      <c r="A18" s="4" t="inlineStr">
        <is>
          <t xml:space="preserve">   · Conservative is now the planning case ($33M Y5 single-network ramp); Base ($130M) requires multi-network.</t>
        </is>
      </c>
    </row>
    <row r="19">
      <c r="A19" s="4" t="inlineStr">
        <is>
          <t>Stewards operate inside Pinnacle's existing RIA registration — operational and unlicensed; one designated principal as qualifier.</t>
        </is>
      </c>
    </row>
    <row r="20">
      <c r="A20" t="inlineStr"/>
    </row>
    <row r="21">
      <c r="A21" s="3" t="inlineStr">
        <is>
          <t>Conventions</t>
        </is>
      </c>
    </row>
    <row r="22">
      <c r="A22" s="5" t="inlineStr">
        <is>
          <t xml:space="preserve">   Blue text â€” hardcoded input you can change</t>
        </is>
      </c>
    </row>
    <row r="23">
      <c r="A23" s="4" t="inlineStr">
        <is>
          <t xml:space="preserve">   Black text â€” formula or calculation</t>
        </is>
      </c>
    </row>
    <row r="24">
      <c r="A24" s="6" t="inlineStr">
        <is>
          <t xml:space="preserve">   Green text â€” link pulling from another sheet</t>
        </is>
      </c>
    </row>
    <row r="25">
      <c r="A25" s="4" t="inlineStr">
        <is>
          <t xml:space="preserve">   Yellow background â€” key assumption flagged for attention</t>
        </is>
      </c>
    </row>
    <row r="26">
      <c r="A26" t="inlineStr"/>
    </row>
    <row r="27">
      <c r="A27" s="4" t="inlineStr">
        <is>
          <t>All currency figures on the P&amp;L and Sensitivity tabs are in USD thousands ($K).</t>
        </is>
      </c>
    </row>
    <row r="28">
      <c r="A28" s="4" t="inlineStr">
        <is>
          <t>Unit-economics values on the Assumptions tab are in raw dollars.</t>
        </is>
      </c>
    </row>
    <row r="29">
      <c r="A29" t="inlineStr"/>
    </row>
    <row r="30">
      <c r="A30" s="2" t="inlineStr">
        <is>
          <t>Driver basis: Pinnacle distribution data (42K advisors / 62 firms), Cerulli heir-attrition studies,</t>
        </is>
      </c>
    </row>
    <row r="31">
      <c r="A31" s="2" t="inlineStr">
        <is>
          <t>IRS actuarial tables, industry family-office operational-services pricing. Re-verify before external use.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5" customWidth="1" min="3" max="3"/>
    <col width="15" customWidth="1" min="4" max="4"/>
    <col width="46" customWidth="1" min="5" max="5"/>
    <col width="13" customWidth="1" min="6" max="6"/>
  </cols>
  <sheetData>
    <row r="1">
      <c r="A1" s="1" t="inlineStr">
        <is>
          <t>Drivers — single source of truth</t>
        </is>
      </c>
    </row>
    <row r="2">
      <c r="A2" s="2" t="inlineStr">
        <is>
          <t>Blue cells are editable inputs. The P&amp;L and Sensitivity tabs read from here.</t>
        </is>
      </c>
    </row>
    <row r="4">
      <c r="A4" s="7" t="inlineStr">
        <is>
          <t>Driver</t>
        </is>
      </c>
      <c r="B4" s="8" t="inlineStr">
        <is>
          <t>Conservative</t>
        </is>
      </c>
      <c r="C4" s="8" t="inlineStr">
        <is>
          <t>Base</t>
        </is>
      </c>
      <c r="D4" s="8" t="inlineStr">
        <is>
          <t>Aggressive</t>
        </is>
      </c>
      <c r="E4" s="8" t="inlineStr">
        <is>
          <t>Notes / source</t>
        </is>
      </c>
    </row>
    <row r="6">
      <c r="A6" s="3" t="inlineStr">
        <is>
          <t>Network &amp; channel funnel</t>
        </is>
      </c>
    </row>
    <row r="7">
      <c r="A7" s="4" t="inlineStr">
        <is>
          <t>Pinnacle advisors in distribution</t>
        </is>
      </c>
      <c r="B7" s="9" t="n">
        <v>42000</v>
      </c>
      <c r="C7" s="9" t="n">
        <v>42000</v>
      </c>
      <c r="D7" s="9" t="n">
        <v>42000</v>
      </c>
      <c r="E7" s="2" t="inlineStr">
        <is>
          <t>42,000 advisors across 62 network firms</t>
        </is>
      </c>
    </row>
    <row r="8">
      <c r="A8" s="4" t="inlineStr">
        <is>
          <t>HNW death events per active advisor / yr</t>
        </is>
      </c>
      <c r="B8" s="10" t="n">
        <v>1.4</v>
      </c>
      <c r="C8" s="10" t="n">
        <v>1.4</v>
      </c>
      <c r="D8" s="10" t="n">
        <v>1.4</v>
      </c>
      <c r="E8" s="2" t="inlineStr">
        <is>
          <t>~200 households Ã— ~30% HNW Ã— ~1.5% mortality</t>
        </is>
      </c>
    </row>
    <row r="9">
      <c r="A9" s="4" t="inlineStr">
        <is>
          <t>Advisor refers to Hartwell (%)</t>
        </is>
      </c>
      <c r="B9" s="11" t="n">
        <v>0.65</v>
      </c>
      <c r="C9" s="11" t="n">
        <v>0.8</v>
      </c>
      <c r="D9" s="11" t="n">
        <v>0.9</v>
      </c>
      <c r="E9" s="2" t="inlineStr">
        <is>
          <t>post advisor-compensation alignment</t>
        </is>
      </c>
    </row>
    <row r="10">
      <c r="A10" s="4" t="inlineStr">
        <is>
          <t>Heir completes intake (%)</t>
        </is>
      </c>
      <c r="B10" s="12" t="n">
        <v>0.75</v>
      </c>
      <c r="C10" s="12" t="n">
        <v>0.85</v>
      </c>
      <c r="D10" s="12" t="n">
        <v>0.9</v>
      </c>
      <c r="E10" s="2" t="inlineStr">
        <is>
          <t>intake flow</t>
        </is>
      </c>
    </row>
    <row r="11">
      <c r="A11" s="4" t="inlineStr">
        <is>
          <t>Engagement runs to completion (%)</t>
        </is>
      </c>
      <c r="B11" s="12" t="n">
        <v>0.85</v>
      </c>
      <c r="C11" s="12" t="n">
        <v>0.9</v>
      </c>
      <c r="D11" s="12" t="n">
        <v>0.93</v>
      </c>
      <c r="E11" s="2" t="inlineStr">
        <is>
          <t>6â€“12 month retention</t>
        </is>
      </c>
    </row>
    <row r="12">
      <c r="A12" s="4" t="inlineStr">
        <is>
          <t>Net engagements per active advisor / yr</t>
        </is>
      </c>
      <c r="B12" s="13">
        <f>B8*B9*B10*B11</f>
        <v/>
      </c>
      <c r="C12" s="13">
        <f>C8*C9*C10*C11</f>
        <v/>
      </c>
      <c r="D12" s="13">
        <f>D8*D9*D10*D11</f>
        <v/>
      </c>
      <c r="E12" s="2" t="inlineStr">
        <is>
          <t>Calc: events Ã— refer% Ã— intake% Ã— completion%</t>
        </is>
      </c>
    </row>
    <row r="14">
      <c r="A14" s="3" t="inlineStr">
        <is>
          <t>Engagement outcome split</t>
        </is>
      </c>
    </row>
    <row r="15">
      <c r="A15" s="4" t="inlineStr">
        <is>
          <t>Retention concierge mix (%)</t>
        </is>
      </c>
      <c r="B15" s="11" t="n">
        <v>0.8</v>
      </c>
      <c r="C15" s="11" t="n">
        <v>0.65</v>
      </c>
      <c r="D15" s="11" t="n">
        <v>0.6</v>
      </c>
      <c r="E15" s="2" t="inlineStr">
        <is>
          <t>advisor keeps the heir; Hartwell runs the workflow. Base 65/35 (IC backfill 2026-06-01); Conservative skews more retention (low adoption=less re-routing); Aggressive 60/40 (high adoption=more re-routing confidence)</t>
        </is>
      </c>
    </row>
    <row r="16">
      <c r="A16" s="4" t="inlineStr">
        <is>
          <t>Placement mix (%)</t>
        </is>
      </c>
      <c r="B16" s="14">
        <f>1-B15</f>
        <v/>
      </c>
      <c r="C16" s="14">
        <f>1-C15</f>
        <v/>
      </c>
      <c r="D16" s="14">
        <f>1-D15</f>
        <v/>
      </c>
      <c r="E16" s="2" t="inlineStr">
        <is>
          <t>Calc: re-route within Pinnacle = 1 âˆ’ retention mix</t>
        </is>
      </c>
    </row>
    <row r="18">
      <c r="A18" s="3" t="inlineStr">
        <is>
          <t>Product 1 — Retention concierge</t>
        </is>
      </c>
    </row>
    <row r="19">
      <c r="A19" s="4" t="inlineStr">
        <is>
          <t>Retention concierge fee blended ($)</t>
        </is>
      </c>
      <c r="B19" s="15" t="n">
        <v>11000</v>
      </c>
      <c r="C19" s="15" t="n">
        <v>13500</v>
      </c>
      <c r="D19" s="15" t="n">
        <v>15000</v>
      </c>
      <c r="E19" s="2" t="inlineStr">
        <is>
          <t>tiered by estate size: $10K ($1M-$10M) / $15K ($10M-$25M) / $22.5K ($25M-$50M) / $30K+ ($50M+); weighted blended assumes 60/25/10/5 estate distribution. Conservative slightly lower band; Aggressive shifts toward larger estates</t>
        </is>
      </c>
    </row>
    <row r="21">
      <c r="A21" s="3" t="inlineStr">
        <is>
          <t>Product 2 — Placement</t>
        </is>
      </c>
    </row>
    <row r="22">
      <c r="A22" s="4" t="inlineStr">
        <is>
          <t>Average AUM placed ($)</t>
        </is>
      </c>
      <c r="B22" s="16" t="n">
        <v>2000000</v>
      </c>
      <c r="C22" s="16" t="n">
        <v>2000000</v>
      </c>
      <c r="D22" s="16" t="n">
        <v>2000000</v>
      </c>
      <c r="E22" s="2" t="inlineStr">
        <is>
          <t>HNW positioning</t>
        </is>
      </c>
    </row>
    <row r="23">
      <c r="A23" s="4" t="inlineStr">
        <is>
          <t>Placement fee (% of AUM)</t>
        </is>
      </c>
      <c r="B23" s="12" t="n">
        <v>0</v>
      </c>
      <c r="C23" s="12" t="n">
        <v>0</v>
      </c>
      <c r="D23" s="12" t="n">
        <v>0</v>
      </c>
      <c r="E23" s="2" t="inlineStr">
        <is>
          <t>pure-bps structure — no upfront (revised 2026-05-31 to match Schwab SAN / Fidelity WAS precedent)</t>
        </is>
      </c>
    </row>
    <row r="24">
      <c r="A24" s="4" t="inlineStr">
        <is>
          <t>Annual trail rate (bps)</t>
        </is>
      </c>
      <c r="B24" s="9" t="n">
        <v>20</v>
      </c>
      <c r="C24" s="9" t="n">
        <v>25</v>
      </c>
      <c r="D24" s="9" t="n">
        <v>30</v>
      </c>
      <c r="E24" s="2" t="inlineStr">
        <is>
          <t>ongoing trail</t>
        </is>
      </c>
    </row>
    <row r="25">
      <c r="A25" s="4" t="inlineStr">
        <is>
          <t>Trail duration (years)</t>
        </is>
      </c>
      <c r="B25" s="9" t="n">
        <v>7</v>
      </c>
      <c r="C25" s="9" t="n">
        <v>10</v>
      </c>
      <c r="D25" s="9" t="n">
        <v>12</v>
      </c>
      <c r="E25" s="2" t="inlineStr">
        <is>
          <t>trail recognition window</t>
        </is>
      </c>
    </row>
    <row r="26">
      <c r="A26" s="4" t="inlineStr">
        <is>
          <t>Upfront placement fee per family ($)</t>
        </is>
      </c>
      <c r="B26" s="17">
        <f>B22*B23</f>
        <v/>
      </c>
      <c r="C26" s="17">
        <f>C22*C23</f>
        <v/>
      </c>
      <c r="D26" s="17">
        <f>D22*D23</f>
        <v/>
      </c>
      <c r="E26" s="2" t="inlineStr">
        <is>
          <t>Calc: AUM Ã— fee%</t>
        </is>
      </c>
    </row>
    <row r="27">
      <c r="A27" s="4" t="inlineStr">
        <is>
          <t>Annual trail per family ($)</t>
        </is>
      </c>
      <c r="B27" s="17">
        <f>B22*B24/10000</f>
        <v/>
      </c>
      <c r="C27" s="17">
        <f>C22*C24/10000</f>
        <v/>
      </c>
      <c r="D27" s="17">
        <f>D22*D24/10000</f>
        <v/>
      </c>
      <c r="E27" s="2" t="inlineStr">
        <is>
          <t>Calc: AUM Ã— bps / 10,000</t>
        </is>
      </c>
    </row>
    <row r="28">
      <c r="A28" s="4" t="inlineStr">
        <is>
          <t>Cumulative trail per family ($)</t>
        </is>
      </c>
      <c r="B28" s="17">
        <f>B27*B25</f>
        <v/>
      </c>
      <c r="C28" s="17">
        <f>C27*C25</f>
        <v/>
      </c>
      <c r="D28" s="17">
        <f>D27*D25</f>
        <v/>
      </c>
      <c r="E28" s="2" t="inlineStr">
        <is>
          <t>Calc: annual trail Ã— duration</t>
        </is>
      </c>
    </row>
    <row r="29">
      <c r="A29" s="4" t="inlineStr">
        <is>
          <t>Placement LTV per family ($)</t>
        </is>
      </c>
      <c r="B29" s="17">
        <f>B26+B28</f>
        <v/>
      </c>
      <c r="C29" s="17">
        <f>C26+C28</f>
        <v/>
      </c>
      <c r="D29" s="17">
        <f>D26+D28</f>
        <v/>
      </c>
      <c r="E29" s="2" t="inlineStr">
        <is>
          <t>Calc: 0 upfront + cumulative trail â‰ˆ $50K base</t>
        </is>
      </c>
    </row>
    <row r="31">
      <c r="A31" s="3" t="inlineStr">
        <is>
          <t>Costs &amp; advisor compensation</t>
        </is>
      </c>
    </row>
    <row r="32">
      <c r="A32" s="4" t="inlineStr">
        <is>
          <t>Variable cost per engagement ($)</t>
        </is>
      </c>
      <c r="B32" s="16" t="n">
        <v>3000</v>
      </c>
      <c r="C32" s="16" t="n">
        <v>3000</v>
      </c>
      <c r="D32" s="16" t="n">
        <v>3000</v>
      </c>
      <c r="E32" s="2" t="inlineStr">
        <is>
          <t>concierge time + AI / infra + ops</t>
        </is>
      </c>
    </row>
    <row r="33">
      <c r="A33" s="4" t="inlineStr">
        <is>
          <t>Referring advisor share of placement revenue (%)</t>
        </is>
      </c>
      <c r="B33" s="11" t="n">
        <v>0.2</v>
      </c>
      <c r="C33" s="11" t="n">
        <v>0.2</v>
      </c>
      <c r="D33" s="11" t="n">
        <v>0.2</v>
      </c>
      <c r="E33" s="2" t="inlineStr">
        <is>
          <t>comp design; counsel-gated before live channel launch</t>
        </is>
      </c>
    </row>
    <row r="34">
      <c r="A34" s="4" t="inlineStr">
        <is>
          <t>Blended revenue per engagement ($)</t>
        </is>
      </c>
      <c r="B34" s="17">
        <f>B15*B19+B16*B29</f>
        <v/>
      </c>
      <c r="C34" s="17">
        <f>C15*C19+C16*C29</f>
        <v/>
      </c>
      <c r="D34" s="17">
        <f>D15*D19+D16*D29</f>
        <v/>
      </c>
      <c r="E34" s="2" t="inlineStr">
        <is>
          <t>Calc: retention mixÃ—fee + placement mixÃ—LTV</t>
        </is>
      </c>
    </row>
    <row r="35">
      <c r="A35" s="4" t="inlineStr">
        <is>
          <t>Blended net contribution per engagement ($)</t>
        </is>
      </c>
      <c r="B35" s="17">
        <f>B34-B32-B16*B29*B33</f>
        <v/>
      </c>
      <c r="C35" s="17">
        <f>C34-C32-C16*C29*C33</f>
        <v/>
      </c>
      <c r="D35" s="17">
        <f>D34-D32-D16*D29*D33</f>
        <v/>
      </c>
      <c r="E35" s="2" t="inlineStr">
        <is>
          <t>Calc: blended rev âˆ’ variable cost âˆ’ advisor share</t>
        </is>
      </c>
    </row>
    <row r="37">
      <c r="A37" s="3" t="inlineStr">
        <is>
          <t>Channel ramp — advisor activation (% of 42K network)</t>
        </is>
      </c>
    </row>
    <row r="38">
      <c r="A38" s="4" t="inlineStr">
        <is>
          <t>Active advisors, Y1 (%)</t>
        </is>
      </c>
      <c r="B38" s="12" t="n">
        <v>0.003</v>
      </c>
      <c r="C38" s="12" t="n">
        <v>0.007</v>
      </c>
      <c r="D38" s="12" t="n">
        <v>0.015</v>
      </c>
      <c r="E38" s="2" t="inlineStr">
        <is>
          <t>channel plan</t>
        </is>
      </c>
    </row>
    <row r="39">
      <c r="A39" s="4" t="inlineStr">
        <is>
          <t>Active advisors, Y2 (%)</t>
        </is>
      </c>
      <c r="B39" s="12" t="n">
        <v>0.012</v>
      </c>
      <c r="C39" s="12" t="n">
        <v>0.025</v>
      </c>
      <c r="D39" s="12" t="n">
        <v>0.05</v>
      </c>
      <c r="E39" s="2" t="inlineStr">
        <is>
          <t>channel plan</t>
        </is>
      </c>
    </row>
    <row r="40">
      <c r="A40" s="4" t="inlineStr">
        <is>
          <t>Active advisors, Y3 (%)</t>
        </is>
      </c>
      <c r="B40" s="12" t="n">
        <v>0.025</v>
      </c>
      <c r="C40" s="12" t="n">
        <v>0.05</v>
      </c>
      <c r="D40" s="12" t="n">
        <v>0.1</v>
      </c>
      <c r="E40" s="2" t="inlineStr">
        <is>
          <t>channel plan</t>
        </is>
      </c>
    </row>
    <row r="41">
      <c r="A41" s="4" t="inlineStr">
        <is>
          <t>Active advisors, Y4 (%)</t>
        </is>
      </c>
      <c r="B41" s="12" t="n">
        <v>0.04</v>
      </c>
      <c r="C41" s="12" t="n">
        <v>0.08</v>
      </c>
      <c r="D41" s="12" t="n">
        <v>0.15</v>
      </c>
      <c r="E41" s="2" t="inlineStr">
        <is>
          <t>channel plan</t>
        </is>
      </c>
    </row>
    <row r="42">
      <c r="A42" s="4" t="inlineStr">
        <is>
          <t>Active advisors, Y5 (%)</t>
        </is>
      </c>
      <c r="B42" s="11" t="n">
        <v>0.05</v>
      </c>
      <c r="C42" s="11" t="n">
        <v>0.12</v>
      </c>
      <c r="D42" s="11" t="n">
        <v>0.2</v>
      </c>
      <c r="E42" s="2" t="inlineStr">
        <is>
          <t>channel plan</t>
        </is>
      </c>
    </row>
    <row r="44">
      <c r="A44" s="3" t="inlineStr">
        <is>
          <t>Cohort ramp ratio (engagements as % of mature rate)</t>
        </is>
      </c>
    </row>
    <row r="45">
      <c r="A45" s="4" t="inlineStr">
        <is>
          <t>Y1 ramp ratio</t>
        </is>
      </c>
      <c r="B45" s="12" t="n">
        <v>0.45</v>
      </c>
      <c r="C45" s="12" t="n">
        <v>0.45</v>
      </c>
      <c r="D45" s="12" t="n">
        <v>0.5</v>
      </c>
      <c r="E45" s="2" t="inlineStr">
        <is>
          <t>cohort weighting</t>
        </is>
      </c>
    </row>
    <row r="46">
      <c r="A46" s="4" t="inlineStr">
        <is>
          <t>Y2 ramp ratio</t>
        </is>
      </c>
      <c r="B46" s="12" t="n">
        <v>0.6</v>
      </c>
      <c r="C46" s="12" t="n">
        <v>0.6</v>
      </c>
      <c r="D46" s="12" t="n">
        <v>0.65</v>
      </c>
      <c r="E46" s="2" t="inlineStr">
        <is>
          <t>cohort weighting</t>
        </is>
      </c>
    </row>
    <row r="47">
      <c r="A47" s="4" t="inlineStr">
        <is>
          <t>Y3 ramp ratio</t>
        </is>
      </c>
      <c r="B47" s="12" t="n">
        <v>0.75</v>
      </c>
      <c r="C47" s="12" t="n">
        <v>0.75</v>
      </c>
      <c r="D47" s="12" t="n">
        <v>0.8</v>
      </c>
      <c r="E47" s="2" t="inlineStr">
        <is>
          <t>cohort weighting</t>
        </is>
      </c>
    </row>
    <row r="48">
      <c r="A48" s="4" t="inlineStr">
        <is>
          <t>Y4 ramp ratio</t>
        </is>
      </c>
      <c r="B48" s="12" t="n">
        <v>0.88</v>
      </c>
      <c r="C48" s="12" t="n">
        <v>0.88</v>
      </c>
      <c r="D48" s="12" t="n">
        <v>0.92</v>
      </c>
      <c r="E48" s="2" t="inlineStr">
        <is>
          <t>cohort weighting</t>
        </is>
      </c>
    </row>
    <row r="49">
      <c r="A49" s="4" t="inlineStr">
        <is>
          <t>Y5 ramp ratio</t>
        </is>
      </c>
      <c r="B49" s="12" t="n">
        <v>1</v>
      </c>
      <c r="C49" s="12" t="n">
        <v>1</v>
      </c>
      <c r="D49" s="12" t="n">
        <v>1</v>
      </c>
      <c r="E49" s="2" t="inlineStr">
        <is>
          <t>cohort weighting</t>
        </is>
      </c>
    </row>
    <row r="51">
      <c r="A51" s="3" t="inlineStr">
        <is>
          <t>Fixed costs ($K) — IC-backfill 2026-06-02 (concierge team is engagement-driven; rest right-sized for Pinnacle G&amp;A absorption)</t>
        </is>
      </c>
    </row>
    <row r="52">
      <c r="A52" s="7" t="inlineStr">
        <is>
          <t>Category</t>
        </is>
      </c>
      <c r="B52" s="8" t="inlineStr">
        <is>
          <t>Y1</t>
        </is>
      </c>
      <c r="C52" s="8" t="inlineStr">
        <is>
          <t>Y2</t>
        </is>
      </c>
      <c r="D52" s="8" t="inlineStr">
        <is>
          <t>Y3</t>
        </is>
      </c>
      <c r="E52" s="8" t="inlineStr">
        <is>
          <t>Y4</t>
        </is>
      </c>
      <c r="F52" s="8" t="inlineStr">
        <is>
          <t>Y5</t>
        </is>
      </c>
    </row>
    <row r="53">
      <c r="A53" s="4" t="inlineStr">
        <is>
          <t>Operating leadership (Pete + lieutenant)</t>
        </is>
      </c>
      <c r="B53" s="9" t="n">
        <v>200</v>
      </c>
      <c r="C53" s="9" t="n">
        <v>250</v>
      </c>
      <c r="D53" s="9" t="n">
        <v>350</v>
      </c>
      <c r="E53" s="9" t="n">
        <v>450</v>
      </c>
      <c r="F53" s="9" t="n">
        <v>550</v>
      </c>
    </row>
    <row r="54">
      <c r="A54" s="4" t="inlineStr">
        <is>
          <t>Concierge team (6 new heirs/mo/steward @ $110K loaded)</t>
        </is>
      </c>
      <c r="B54" s="18">
        <f>ROUND('P&amp;L'!B12/72,0)*110</f>
        <v/>
      </c>
      <c r="C54" s="18">
        <f>ROUND('P&amp;L'!C12/72,0)*110</f>
        <v/>
      </c>
      <c r="D54" s="18">
        <f>ROUND('P&amp;L'!D12/72,0)*110</f>
        <v/>
      </c>
      <c r="E54" s="18">
        <f>ROUND('P&amp;L'!E12/72,0)*110</f>
        <v/>
      </c>
      <c r="F54" s="18">
        <f>ROUND('P&amp;L'!F12/72,0)*110</f>
        <v/>
      </c>
    </row>
    <row r="55">
      <c r="A55" s="4" t="inlineStr">
        <is>
          <t>In-house attorney + EA (Pinnacle-allocated)</t>
        </is>
      </c>
      <c r="B55" s="9" t="n">
        <v>200</v>
      </c>
      <c r="C55" s="9" t="n">
        <v>350</v>
      </c>
      <c r="D55" s="9" t="n">
        <v>400</v>
      </c>
      <c r="E55" s="9" t="n">
        <v>425</v>
      </c>
      <c r="F55" s="9" t="n">
        <v>450</v>
      </c>
    </row>
    <row r="56">
      <c r="A56" s="4" t="inlineStr">
        <is>
          <t>Compliance retainer + audits</t>
        </is>
      </c>
      <c r="B56" s="9" t="n">
        <v>150</v>
      </c>
      <c r="C56" s="9" t="n">
        <v>200</v>
      </c>
      <c r="D56" s="9" t="n">
        <v>275</v>
      </c>
      <c r="E56" s="9" t="n">
        <v>325</v>
      </c>
      <c r="F56" s="9" t="n">
        <v>400</v>
      </c>
    </row>
    <row r="57">
      <c r="A57" s="4" t="inlineStr">
        <is>
          <t>Pinnacle §482 allocation (CCO/cyber/BD/finance)</t>
        </is>
      </c>
      <c r="B57" s="9" t="n">
        <v>300</v>
      </c>
      <c r="C57" s="9" t="n">
        <v>500</v>
      </c>
      <c r="D57" s="9" t="n">
        <v>800</v>
      </c>
      <c r="E57" s="9" t="n">
        <v>1200</v>
      </c>
      <c r="F57" s="9" t="n">
        <v>1500</v>
      </c>
    </row>
    <row r="58">
      <c r="A58" s="4" t="inlineStr">
        <is>
          <t>Software / infrastructure</t>
        </is>
      </c>
      <c r="B58" s="9" t="n">
        <v>100</v>
      </c>
      <c r="C58" s="9" t="n">
        <v>150</v>
      </c>
      <c r="D58" s="9" t="n">
        <v>250</v>
      </c>
      <c r="E58" s="9" t="n">
        <v>400</v>
      </c>
      <c r="F58" s="9" t="n">
        <v>600</v>
      </c>
    </row>
    <row r="59">
      <c r="A59" s="4" t="inlineStr">
        <is>
          <t>Other operations / contingency</t>
        </is>
      </c>
      <c r="B59" s="9" t="n">
        <v>100</v>
      </c>
      <c r="C59" s="9" t="n">
        <v>200</v>
      </c>
      <c r="D59" s="9" t="n">
        <v>400</v>
      </c>
      <c r="E59" s="9" t="n">
        <v>600</v>
      </c>
      <c r="F59" s="9" t="n">
        <v>900</v>
      </c>
    </row>
    <row r="60">
      <c r="A60" s="19" t="inlineStr">
        <is>
          <t>Total fixed cost ($K)</t>
        </is>
      </c>
      <c r="B60" s="20">
        <f>SUM(B53:B59)</f>
        <v/>
      </c>
      <c r="C60" s="20">
        <f>SUM(C53:C59)</f>
        <v/>
      </c>
      <c r="D60" s="20">
        <f>SUM(D53:D59)</f>
        <v/>
      </c>
      <c r="E60" s="20">
        <f>SUM(E53:E59)</f>
        <v/>
      </c>
      <c r="F60" s="20">
        <f>SUM(F53:F59)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5-Year P&amp;L</t>
        </is>
      </c>
    </row>
    <row r="2">
      <c r="A2" s="2" t="inlineStr">
        <is>
          <t>All currency in USD thousands ($K). Change the scenario selector in B4.</t>
        </is>
      </c>
    </row>
    <row r="4">
      <c r="A4" s="19" t="inlineStr">
        <is>
          <t>Scenario</t>
        </is>
      </c>
      <c r="B4" s="21" t="inlineStr">
        <is>
          <t>Base</t>
        </is>
      </c>
    </row>
    <row r="5">
      <c r="A5" s="4" t="inlineStr">
        <is>
          <t>Scenario column index</t>
        </is>
      </c>
      <c r="B5" s="4">
        <f>MATCH(B4,{"Conservative","Base","Aggressive"},0)+1</f>
        <v/>
      </c>
    </row>
    <row r="7">
      <c r="B7" s="8" t="inlineStr">
        <is>
          <t>Y1</t>
        </is>
      </c>
      <c r="C7" s="8" t="inlineStr">
        <is>
          <t>Y2</t>
        </is>
      </c>
      <c r="D7" s="8" t="inlineStr">
        <is>
          <t>Y3</t>
        </is>
      </c>
      <c r="E7" s="8" t="inlineStr">
        <is>
          <t>Y4</t>
        </is>
      </c>
      <c r="F7" s="8" t="inlineStr">
        <is>
          <t>Y5</t>
        </is>
      </c>
    </row>
    <row r="8">
      <c r="A8" s="4" t="inlineStr">
        <is>
          <t>Advisor activation (%)</t>
        </is>
      </c>
      <c r="B8" s="14">
        <f>INDEX(Assumptions!$B$38:$D$38,1,$B$5-1)</f>
        <v/>
      </c>
      <c r="C8" s="14">
        <f>INDEX(Assumptions!$B$39:$D$39,1,$B$5-1)</f>
        <v/>
      </c>
      <c r="D8" s="14">
        <f>INDEX(Assumptions!$B$40:$D$40,1,$B$5-1)</f>
        <v/>
      </c>
      <c r="E8" s="14">
        <f>INDEX(Assumptions!$B$41:$D$41,1,$B$5-1)</f>
        <v/>
      </c>
      <c r="F8" s="14">
        <f>INDEX(Assumptions!$B$42:$D$42,1,$B$5-1)</f>
        <v/>
      </c>
    </row>
    <row r="9">
      <c r="A9" s="4" t="inlineStr">
        <is>
          <t>Active advisors</t>
        </is>
      </c>
      <c r="B9" s="18">
        <f>INDEX(Assumptions!$B$7:$D$7,1,$B$5-1)*B8</f>
        <v/>
      </c>
      <c r="C9" s="18">
        <f>INDEX(Assumptions!$B$7:$D$7,1,$B$5-1)*C8</f>
        <v/>
      </c>
      <c r="D9" s="18">
        <f>INDEX(Assumptions!$B$7:$D$7,1,$B$5-1)*D8</f>
        <v/>
      </c>
      <c r="E9" s="18">
        <f>INDEX(Assumptions!$B$7:$D$7,1,$B$5-1)*E8</f>
        <v/>
      </c>
      <c r="F9" s="18">
        <f>INDEX(Assumptions!$B$7:$D$7,1,$B$5-1)*F8</f>
        <v/>
      </c>
    </row>
    <row r="10">
      <c r="A10" s="4" t="inlineStr">
        <is>
          <t>Net engagements per active advisor</t>
        </is>
      </c>
      <c r="B10" s="13">
        <f>INDEX(Assumptions!$B$12:$D$12,1,$B$5-1)</f>
        <v/>
      </c>
      <c r="C10" s="13">
        <f>INDEX(Assumptions!$B$12:$D$12,1,$B$5-1)</f>
        <v/>
      </c>
      <c r="D10" s="13">
        <f>INDEX(Assumptions!$B$12:$D$12,1,$B$5-1)</f>
        <v/>
      </c>
      <c r="E10" s="13">
        <f>INDEX(Assumptions!$B$12:$D$12,1,$B$5-1)</f>
        <v/>
      </c>
      <c r="F10" s="13">
        <f>INDEX(Assumptions!$B$12:$D$12,1,$B$5-1)</f>
        <v/>
      </c>
    </row>
    <row r="11">
      <c r="A11" s="4" t="inlineStr">
        <is>
          <t>Ramp ratio (cohort weighting)</t>
        </is>
      </c>
      <c r="B11" s="14">
        <f>INDEX(Assumptions!$B$45:$D$45,1,$B$5-1)</f>
        <v/>
      </c>
      <c r="C11" s="14">
        <f>INDEX(Assumptions!$B$46:$D$46,1,$B$5-1)</f>
        <v/>
      </c>
      <c r="D11" s="14">
        <f>INDEX(Assumptions!$B$47:$D$47,1,$B$5-1)</f>
        <v/>
      </c>
      <c r="E11" s="14">
        <f>INDEX(Assumptions!$B$48:$D$48,1,$B$5-1)</f>
        <v/>
      </c>
      <c r="F11" s="14">
        <f>INDEX(Assumptions!$B$49:$D$49,1,$B$5-1)</f>
        <v/>
      </c>
    </row>
    <row r="12">
      <c r="A12" s="19" t="inlineStr">
        <is>
          <t>Engagements (count)</t>
        </is>
      </c>
      <c r="B12" s="20">
        <f>B9*B10*B11</f>
        <v/>
      </c>
      <c r="C12" s="20">
        <f>C9*C10*C11</f>
        <v/>
      </c>
      <c r="D12" s="20">
        <f>D9*D10*D11</f>
        <v/>
      </c>
      <c r="E12" s="20">
        <f>E9*E10*E11</f>
        <v/>
      </c>
      <c r="F12" s="20">
        <f>F9*F10*F11</f>
        <v/>
      </c>
    </row>
    <row r="14">
      <c r="A14" s="3" t="inlineStr">
        <is>
          <t>Retention concierge</t>
        </is>
      </c>
    </row>
    <row r="15">
      <c r="A15" s="4" t="inlineStr">
        <is>
          <t>Retention engagements</t>
        </is>
      </c>
      <c r="B15" s="18">
        <f>B12*INDEX(Assumptions!$B$15:$D$15,1,$B$5-1)</f>
        <v/>
      </c>
      <c r="C15" s="18">
        <f>C12*INDEX(Assumptions!$B$15:$D$15,1,$B$5-1)</f>
        <v/>
      </c>
      <c r="D15" s="18">
        <f>D12*INDEX(Assumptions!$B$15:$D$15,1,$B$5-1)</f>
        <v/>
      </c>
      <c r="E15" s="18">
        <f>E12*INDEX(Assumptions!$B$15:$D$15,1,$B$5-1)</f>
        <v/>
      </c>
      <c r="F15" s="18">
        <f>F12*INDEX(Assumptions!$B$15:$D$15,1,$B$5-1)</f>
        <v/>
      </c>
    </row>
    <row r="16">
      <c r="A16" s="4" t="inlineStr">
        <is>
          <t>Retention revenue ($K)</t>
        </is>
      </c>
      <c r="B16" s="18">
        <f>B15*INDEX(Assumptions!$B$19:$D$19,1,$B$5-1)/1000</f>
        <v/>
      </c>
      <c r="C16" s="18">
        <f>C15*INDEX(Assumptions!$B$19:$D$19,1,$B$5-1)/1000</f>
        <v/>
      </c>
      <c r="D16" s="18">
        <f>D15*INDEX(Assumptions!$B$19:$D$19,1,$B$5-1)/1000</f>
        <v/>
      </c>
      <c r="E16" s="18">
        <f>E15*INDEX(Assumptions!$B$19:$D$19,1,$B$5-1)/1000</f>
        <v/>
      </c>
      <c r="F16" s="18">
        <f>F15*INDEX(Assumptions!$B$19:$D$19,1,$B$5-1)/1000</f>
        <v/>
      </c>
    </row>
    <row r="18">
      <c r="A18" s="3" t="inlineStr">
        <is>
          <t>Placement</t>
        </is>
      </c>
    </row>
    <row r="19">
      <c r="A19" s="4" t="inlineStr">
        <is>
          <t>Placement engagements (count)</t>
        </is>
      </c>
      <c r="B19" s="18">
        <f>B12*INDEX(Assumptions!$B$16:$D$16,1,$B$5-1)</f>
        <v/>
      </c>
      <c r="C19" s="18">
        <f>C12*INDEX(Assumptions!$B$16:$D$16,1,$B$5-1)</f>
        <v/>
      </c>
      <c r="D19" s="18">
        <f>D12*INDEX(Assumptions!$B$16:$D$16,1,$B$5-1)</f>
        <v/>
      </c>
      <c r="E19" s="18">
        <f>E12*INDEX(Assumptions!$B$16:$D$16,1,$B$5-1)</f>
        <v/>
      </c>
      <c r="F19" s="18">
        <f>F12*INDEX(Assumptions!$B$16:$D$16,1,$B$5-1)</f>
        <v/>
      </c>
    </row>
    <row r="20">
      <c r="A20" s="4" t="inlineStr">
        <is>
          <t>Placement upfront revenue ($K)</t>
        </is>
      </c>
      <c r="B20" s="18">
        <f>B19*INDEX(Assumptions!$B$26:$D$26,1,$B$5-1)/1000</f>
        <v/>
      </c>
      <c r="C20" s="18">
        <f>C19*INDEX(Assumptions!$B$26:$D$26,1,$B$5-1)/1000</f>
        <v/>
      </c>
      <c r="D20" s="18">
        <f>D19*INDEX(Assumptions!$B$26:$D$26,1,$B$5-1)/1000</f>
        <v/>
      </c>
      <c r="E20" s="18">
        <f>E19*INDEX(Assumptions!$B$26:$D$26,1,$B$5-1)/1000</f>
        <v/>
      </c>
      <c r="F20" s="18">
        <f>F19*INDEX(Assumptions!$B$26:$D$26,1,$B$5-1)/1000</f>
        <v/>
      </c>
    </row>
    <row r="21">
      <c r="A21" s="4" t="inlineStr">
        <is>
          <t>Trail revenue ($K)</t>
        </is>
      </c>
      <c r="B21" s="18">
        <f>0</f>
        <v/>
      </c>
      <c r="C21" s="18">
        <f>B19*INDEX(Assumptions!$B$27:$D$27,1,$B$5-1)/1000</f>
        <v/>
      </c>
      <c r="D21" s="18">
        <f>(B19+C19)*INDEX(Assumptions!$B$27:$D$27,1,$B$5-1)/1000</f>
        <v/>
      </c>
      <c r="E21" s="18">
        <f>(B19+C19+D19)*INDEX(Assumptions!$B$27:$D$27,1,$B$5-1)/1000</f>
        <v/>
      </c>
      <c r="F21" s="18">
        <f>(B19+C19+D19+E19)*INDEX(Assumptions!$B$27:$D$27,1,$B$5-1)/1000</f>
        <v/>
      </c>
    </row>
    <row r="22">
      <c r="A22" s="19" t="inlineStr">
        <is>
          <t>Total placement revenue ($K)</t>
        </is>
      </c>
      <c r="B22" s="20">
        <f>B20+B21</f>
        <v/>
      </c>
      <c r="C22" s="20">
        <f>C20+C21</f>
        <v/>
      </c>
      <c r="D22" s="20">
        <f>D20+D21</f>
        <v/>
      </c>
      <c r="E22" s="20">
        <f>E20+E21</f>
        <v/>
      </c>
      <c r="F22" s="20">
        <f>F20+F21</f>
        <v/>
      </c>
    </row>
    <row r="24">
      <c r="A24" s="19" t="inlineStr">
        <is>
          <t>Total revenue ($K)</t>
        </is>
      </c>
      <c r="B24" s="20">
        <f>B16+B22</f>
        <v/>
      </c>
      <c r="C24" s="20">
        <f>C16+C22</f>
        <v/>
      </c>
      <c r="D24" s="20">
        <f>D16+D22</f>
        <v/>
      </c>
      <c r="E24" s="20">
        <f>E16+E22</f>
        <v/>
      </c>
      <c r="F24" s="20">
        <f>F16+F22</f>
        <v/>
      </c>
    </row>
    <row r="26">
      <c r="A26" s="4" t="inlineStr">
        <is>
          <t>Referring advisor share ($K)</t>
        </is>
      </c>
      <c r="B26" s="18">
        <f>B22*INDEX(Assumptions!$B$33:$D$33,1,$B$5-1)</f>
        <v/>
      </c>
      <c r="C26" s="18">
        <f>C22*INDEX(Assumptions!$B$33:$D$33,1,$B$5-1)</f>
        <v/>
      </c>
      <c r="D26" s="18">
        <f>D22*INDEX(Assumptions!$B$33:$D$33,1,$B$5-1)</f>
        <v/>
      </c>
      <c r="E26" s="18">
        <f>E22*INDEX(Assumptions!$B$33:$D$33,1,$B$5-1)</f>
        <v/>
      </c>
      <c r="F26" s="18">
        <f>F22*INDEX(Assumptions!$B$33:$D$33,1,$B$5-1)</f>
        <v/>
      </c>
    </row>
    <row r="27">
      <c r="A27" s="4" t="inlineStr">
        <is>
          <t>Variable cost ($K)</t>
        </is>
      </c>
      <c r="B27" s="18">
        <f>B12*INDEX(Assumptions!$B$32:$D$32,1,$B$5-1)/1000</f>
        <v/>
      </c>
      <c r="C27" s="18">
        <f>C12*INDEX(Assumptions!$B$32:$D$32,1,$B$5-1)/1000</f>
        <v/>
      </c>
      <c r="D27" s="18">
        <f>D12*INDEX(Assumptions!$B$32:$D$32,1,$B$5-1)/1000</f>
        <v/>
      </c>
      <c r="E27" s="18">
        <f>E12*INDEX(Assumptions!$B$32:$D$32,1,$B$5-1)/1000</f>
        <v/>
      </c>
      <c r="F27" s="18">
        <f>F12*INDEX(Assumptions!$B$32:$D$32,1,$B$5-1)/1000</f>
        <v/>
      </c>
    </row>
    <row r="28">
      <c r="A28" s="19" t="inlineStr">
        <is>
          <t>Contribution margin ($K)</t>
        </is>
      </c>
      <c r="B28" s="20">
        <f>B24-B26-B27</f>
        <v/>
      </c>
      <c r="C28" s="20">
        <f>C24-C26-C27</f>
        <v/>
      </c>
      <c r="D28" s="20">
        <f>D24-D26-D27</f>
        <v/>
      </c>
      <c r="E28" s="20">
        <f>E24-E26-E27</f>
        <v/>
      </c>
      <c r="F28" s="20">
        <f>F24-F26-F27</f>
        <v/>
      </c>
    </row>
    <row r="30">
      <c r="A30" s="4" t="inlineStr">
        <is>
          <t>Fixed cost ($K)</t>
        </is>
      </c>
      <c r="B30" s="22">
        <f>Assumptions!B60</f>
        <v/>
      </c>
      <c r="C30" s="22">
        <f>Assumptions!C60</f>
        <v/>
      </c>
      <c r="D30" s="22">
        <f>Assumptions!D60</f>
        <v/>
      </c>
      <c r="E30" s="22">
        <f>Assumptions!E60</f>
        <v/>
      </c>
      <c r="F30" s="22">
        <f>Assumptions!F60</f>
        <v/>
      </c>
    </row>
    <row r="31">
      <c r="A31" s="23" t="inlineStr">
        <is>
          <t>EBITDA ($K)</t>
        </is>
      </c>
      <c r="B31" s="24">
        <f>B28-B30</f>
        <v/>
      </c>
      <c r="C31" s="24">
        <f>C28-C30</f>
        <v/>
      </c>
      <c r="D31" s="24">
        <f>D28-D30</f>
        <v/>
      </c>
      <c r="E31" s="24">
        <f>E28-E30</f>
        <v/>
      </c>
      <c r="F31" s="24">
        <f>F28-F30</f>
        <v/>
      </c>
    </row>
    <row r="32">
      <c r="A32" s="4" t="inlineStr">
        <is>
          <t>EBITDA margin (%)</t>
        </is>
      </c>
      <c r="B32" s="14">
        <f>B31/B24</f>
        <v/>
      </c>
      <c r="C32" s="14">
        <f>C31/C24</f>
        <v/>
      </c>
      <c r="D32" s="14">
        <f>D31/D24</f>
        <v/>
      </c>
      <c r="E32" s="14">
        <f>E31/E24</f>
        <v/>
      </c>
      <c r="F32" s="14">
        <f>F31/F24</f>
        <v/>
      </c>
    </row>
    <row r="33">
      <c r="A33" s="19" t="inlineStr">
        <is>
          <t>Cumulative EBITDA ($K)</t>
        </is>
      </c>
      <c r="B33" s="20">
        <f>B31</f>
        <v/>
      </c>
      <c r="C33" s="20">
        <f>B33+C31</f>
        <v/>
      </c>
      <c r="D33" s="20">
        <f>C33+D31</f>
        <v/>
      </c>
      <c r="E33" s="20">
        <f>D33+E31</f>
        <v/>
      </c>
      <c r="F33" s="20">
        <f>E33+F31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38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Sensitivity — Y5 EBITDA impact</t>
        </is>
      </c>
    </row>
    <row r="2">
      <c r="A2" s="2" t="inlineStr">
        <is>
          <t>One-way Â±25% on each driver, holding all other selected-scenario drivers constant.</t>
        </is>
      </c>
    </row>
    <row r="4">
      <c r="A4" s="7" t="inlineStr">
        <is>
          <t>Driver</t>
        </is>
      </c>
      <c r="B4" s="8" t="inlineStr">
        <is>
          <t>Base value</t>
        </is>
      </c>
      <c r="C4" s="8" t="inlineStr">
        <is>
          <t>EBITDA at -25% ($K)</t>
        </is>
      </c>
      <c r="D4" s="8" t="inlineStr">
        <is>
          <t>Base EBITDA ($K)</t>
        </is>
      </c>
      <c r="E4" s="8" t="inlineStr">
        <is>
          <t>EBITDA at +25% ($K)</t>
        </is>
      </c>
      <c r="F4" s="8" t="inlineStr">
        <is>
          <t>Y5 EBITDA range ($K)</t>
        </is>
      </c>
    </row>
    <row r="5">
      <c r="A5" s="4" t="inlineStr">
        <is>
          <t>Advisor activation rate, Y5</t>
        </is>
      </c>
      <c r="B5" s="25">
        <f>INDEX(Assumptions!$B$42:$D$42,1,'P&amp;L'!$B$5-1)</f>
        <v/>
      </c>
      <c r="C5" s="18">
        <f>$D5-0.25*$B$16</f>
        <v/>
      </c>
      <c r="D5" s="22">
        <f>'P&amp;L'!$F$31</f>
        <v/>
      </c>
      <c r="E5" s="18">
        <f>$D5+0.25*$B$16</f>
        <v/>
      </c>
      <c r="F5" s="20">
        <f>E5-C5</f>
        <v/>
      </c>
    </row>
    <row r="6">
      <c r="A6" s="4" t="inlineStr">
        <is>
          <t>Net engagements per active advisor</t>
        </is>
      </c>
      <c r="B6" s="26">
        <f>INDEX(Assumptions!$B$12:$D$12,1,'P&amp;L'!$B$5-1)</f>
        <v/>
      </c>
      <c r="C6" s="18">
        <f>$D6-0.25*$B$16</f>
        <v/>
      </c>
      <c r="D6" s="22">
        <f>'P&amp;L'!$F$31</f>
        <v/>
      </c>
      <c r="E6" s="18">
        <f>$D6+0.25*$B$16</f>
        <v/>
      </c>
      <c r="F6" s="20">
        <f>E6-C6</f>
        <v/>
      </c>
    </row>
    <row r="7">
      <c r="A7" s="4" t="inlineStr">
        <is>
          <t>Placement mix (% of engagements)</t>
        </is>
      </c>
      <c r="B7" s="25">
        <f>INDEX(Assumptions!$B$16:$D$16,1,'P&amp;L'!$B$5-1)</f>
        <v/>
      </c>
      <c r="C7" s="18">
        <f>$D7-$B$17</f>
        <v/>
      </c>
      <c r="D7" s="22">
        <f>'P&amp;L'!$F$31</f>
        <v/>
      </c>
      <c r="E7" s="18">
        <f>$D7+$B$17</f>
        <v/>
      </c>
      <c r="F7" s="20">
        <f>E7-C7</f>
        <v/>
      </c>
    </row>
    <row r="8">
      <c r="A8" s="4" t="inlineStr">
        <is>
          <t>Placement fee per family ($)</t>
        </is>
      </c>
      <c r="B8" s="27">
        <f>INDEX(Assumptions!$B$26:$D$26,1,'P&amp;L'!$B$5-1)</f>
        <v/>
      </c>
      <c r="C8" s="18">
        <f>$D8-0.25*$B$18</f>
        <v/>
      </c>
      <c r="D8" s="22">
        <f>'P&amp;L'!$F$31</f>
        <v/>
      </c>
      <c r="E8" s="18">
        <f>$D8+0.25*$B$18</f>
        <v/>
      </c>
      <c r="F8" s="20">
        <f>E8-C8</f>
        <v/>
      </c>
    </row>
    <row r="9">
      <c r="A9" s="4" t="inlineStr">
        <is>
          <t>Retention concierge fee ($)</t>
        </is>
      </c>
      <c r="B9" s="27">
        <f>INDEX(Assumptions!$B$19:$D$19,1,'P&amp;L'!$B$5-1)</f>
        <v/>
      </c>
      <c r="C9" s="18">
        <f>$D9-0.25*$B$13</f>
        <v/>
      </c>
      <c r="D9" s="22">
        <f>'P&amp;L'!$F$31</f>
        <v/>
      </c>
      <c r="E9" s="18">
        <f>$D9+0.25*$B$13</f>
        <v/>
      </c>
      <c r="F9" s="20">
        <f>E9-C9</f>
        <v/>
      </c>
    </row>
    <row r="10">
      <c r="A10" s="4" t="inlineStr">
        <is>
          <t>Variable cost per engagement ($)</t>
        </is>
      </c>
      <c r="B10" s="27">
        <f>INDEX(Assumptions!$B$32:$D$32,1,'P&amp;L'!$B$5-1)</f>
        <v/>
      </c>
      <c r="C10" s="18">
        <f>$D10-0.25*$B$15</f>
        <v/>
      </c>
      <c r="D10" s="22">
        <f>'P&amp;L'!$F$31</f>
        <v/>
      </c>
      <c r="E10" s="18">
        <f>$D10+0.25*$B$15</f>
        <v/>
      </c>
      <c r="F10" s="20">
        <f>E10-C10</f>
        <v/>
      </c>
    </row>
    <row r="12">
      <c r="A12" s="3" t="inlineStr">
        <is>
          <t>Helper values — Y5, selected scenario</t>
        </is>
      </c>
    </row>
    <row r="13">
      <c r="A13" s="4" t="inlineStr">
        <is>
          <t>Y5 retention revenue ($K)</t>
        </is>
      </c>
      <c r="B13" s="18">
        <f>'P&amp;L'!F16</f>
        <v/>
      </c>
    </row>
    <row r="14">
      <c r="A14" s="4" t="inlineStr">
        <is>
          <t>Y5 placement upfront revenue ($K)</t>
        </is>
      </c>
      <c r="B14" s="18">
        <f>'P&amp;L'!F20</f>
        <v/>
      </c>
    </row>
    <row r="15">
      <c r="A15" s="4" t="inlineStr">
        <is>
          <t>Y5 variable cost ($K)</t>
        </is>
      </c>
      <c r="B15" s="18">
        <f>'P&amp;L'!F27</f>
        <v/>
      </c>
    </row>
    <row r="16">
      <c r="A16" s="4" t="inlineStr">
        <is>
          <t>Y5 engagement-scalable EBITDA ($K)</t>
        </is>
      </c>
      <c r="B16" s="18">
        <f>B13+B14-B14*B19-B15</f>
        <v/>
      </c>
    </row>
    <row r="17">
      <c r="A17" s="4" t="inlineStr">
        <is>
          <t>Y5 placement-mix EBITDA delta ($K)</t>
        </is>
      </c>
      <c r="B17" s="18">
        <f>0.25*B14*(1-B19)-0.25*B13*B20/(1-B20)</f>
        <v/>
      </c>
    </row>
    <row r="18">
      <c r="A18" s="4" t="inlineStr">
        <is>
          <t>Y5 placement-fee EBITDA delta basis ($K)</t>
        </is>
      </c>
      <c r="B18" s="18">
        <f>B14*(1-B19)</f>
        <v/>
      </c>
    </row>
    <row r="19">
      <c r="A19" s="4" t="inlineStr">
        <is>
          <t>Referring advisor share (%)</t>
        </is>
      </c>
      <c r="B19" s="14">
        <f>INDEX(Assumptions!$B$33:$D$33,1,'P&amp;L'!$B$5-1)</f>
        <v/>
      </c>
    </row>
    <row r="20">
      <c r="A20" s="4" t="inlineStr">
        <is>
          <t>Placement mix (%)</t>
        </is>
      </c>
      <c r="B20" s="14">
        <f>INDEX(Assumptions!$B$16:$D$16,1,'P&amp;L'!$B$5-1)</f>
        <v/>
      </c>
    </row>
    <row r="22">
      <c r="A22" s="28" t="inlineStr">
        <is>
          <t>Method: activation rate and engagements-per-advisor scale Y5 engagements linearly (retention revenue, placement upfront revenue, variable cost — trail revenue is fixed by prior-year cohorts). Placement mix shifts revenue between the two products. Placement fee and retention fee scale their product's revenue directly. Variable cost moves EBITDA inversely.</t>
        </is>
      </c>
    </row>
    <row r="23"/>
    <row r="24"/>
    <row r="25"/>
    <row r="26"/>
  </sheetData>
  <mergeCells count="1">
    <mergeCell ref="A22:F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2026-06-02T01:38:12Z</dcterms:created>
  <dcterms:modified xmlns:dcterms="http://purl.org/dc/terms/" xmlns:xsi="http://www.w3.org/2001/XMLSchema-instance" xsi:type="dcterms:W3CDTF">2026-06-02T01:38:12Z</dcterms:modified>
</cp:coreProperties>
</file>